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iul-dec 2020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<sst xmlns="http://schemas.openxmlformats.org/spreadsheetml/2006/main" count="96" uniqueCount="60">
  <si>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</si>
  <si>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</si>
  <si>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</si>
  <si>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</si>
  <si>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</si>
  <si>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</si>
  <si>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</si>
  <si>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</si>
  <si>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</si>
  <si>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</si>
  <si>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</si>
  <si>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</si>
  <si>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</si>
  <si>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</si>
  <si>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</si>
  <si>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</si>
  <si>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</si>
  <si>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</si>
  <si>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</si>
  <si>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</si>
  <si>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</si>
  <si>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</si>
  <si>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</si>
  <si>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</si>
  <si>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</si>
  <si>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</si>
  <si>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</si>
  <si>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</si>
  <si>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</si>
  <si>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</si>
  <si>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</si>
  <si>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</si>
  <si>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</si>
  <si>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</si>
  <si>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</si>
  <si>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</si>
  <si>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</si>
  <si>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</si>
  <si>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</si>
  <si>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</si>
  <si>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</si>
  <si>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</si>
  <si>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Aprilie</t>
  </si>
  <si>
    <t>Total</t>
  </si>
  <si>
    <t>Mai</t>
  </si>
  <si>
    <t>Trim II</t>
  </si>
  <si>
    <t>Sem I</t>
  </si>
  <si>
    <t>Iunie</t>
  </si>
  <si>
    <t>Iulie</t>
  </si>
  <si>
    <t>August</t>
  </si>
  <si>
    <t>Septembrie</t>
  </si>
  <si>
    <t>Trim III</t>
  </si>
  <si>
    <t>Octombrie</t>
  </si>
  <si>
    <t xml:space="preserve">Noiembrie </t>
  </si>
  <si>
    <t>Decembrie</t>
  </si>
  <si>
    <t>Trim IV</t>
  </si>
  <si>
    <t>Sem II</t>
  </si>
  <si>
    <t>Buget aferent perioadei iulie - decembrie 2020</t>
  </si>
  <si>
    <t xml:space="preserve">     Anexa 3</t>
  </si>
  <si>
    <t xml:space="preserve">         Anexa 3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</si>
</sst>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  <numFmt numFmtId="191" formatCode="#,##0_);\(#,##0\)"/>
    <numFmt numFmtId="192" formatCode="#,##0.00_);\(#,##0.00\)"/>
    <numFmt numFmtId="193" formatCode="#,##0.000_);\(#,##0.000\)"/>
    <numFmt numFmtId="194" formatCode="#,##0.0000_);\(#,##0.0000\)"/>
    <numFmt numFmtId="195" formatCode="#,##0.00000_);\(#,##0.00000\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90" fontId="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1" fontId="1" fillId="0" borderId="0" xfId="42" applyFont="1" applyBorder="1" applyAlignment="1">
      <alignment/>
    </xf>
    <xf numFmtId="171" fontId="4" fillId="0" borderId="0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90" fontId="1" fillId="34" borderId="10" xfId="0" applyNumberFormat="1" applyFont="1" applyFill="1" applyBorder="1" applyAlignment="1">
      <alignment/>
    </xf>
    <xf numFmtId="190" fontId="1" fillId="34" borderId="10" xfId="0" applyNumberFormat="1" applyFont="1" applyFill="1" applyBorder="1" applyAlignment="1">
      <alignment horizontal="right"/>
    </xf>
    <xf numFmtId="190" fontId="1" fillId="33" borderId="10" xfId="0" applyNumberFormat="1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71" fontId="0" fillId="33" borderId="0" xfId="42" applyFont="1" applyFill="1" applyAlignment="1">
      <alignment/>
    </xf>
    <xf numFmtId="17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L1">
      <selection activeCell="I2" sqref="I2:K5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1.140625" style="0" customWidth="1"/>
    <col min="10" max="10" width="11.421875" style="0" customWidth="1"/>
    <col min="11" max="11" width="12.1406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5.28125" style="0" customWidth="1"/>
    <col min="21" max="21" width="15.00390625" style="0" bestFit="1" customWidth="1"/>
    <col min="22" max="22" width="13.140625" style="0" customWidth="1"/>
    <col min="23" max="23" width="13.28125" style="0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1" ht="12.75">
      <c r="A2" s="1" t="s">
        <v>32</v>
      </c>
      <c r="B2" s="1"/>
      <c r="C2" s="1"/>
      <c r="H2" s="1"/>
      <c r="I2" s="1"/>
      <c r="J2" s="1"/>
      <c r="K2" s="1"/>
      <c r="L2" s="1" t="s">
        <v>33</v>
      </c>
      <c r="M2" s="1"/>
      <c r="N2" s="1"/>
      <c r="S2" s="1"/>
      <c r="T2" s="1"/>
      <c r="U2" s="1"/>
    </row>
    <row r="3" spans="1:21" ht="12.75">
      <c r="A3" s="1"/>
      <c r="B3" s="1"/>
      <c r="C3" s="1"/>
      <c r="H3" s="1"/>
      <c r="I3" s="1"/>
      <c r="J3" s="1"/>
      <c r="K3" s="1"/>
      <c r="S3" s="1"/>
      <c r="T3" s="1"/>
      <c r="U3" s="1"/>
    </row>
    <row r="4" spans="8:21" ht="12.75">
      <c r="H4" s="1"/>
      <c r="I4" s="1"/>
      <c r="J4" s="1"/>
      <c r="K4" s="1"/>
      <c r="S4" s="1"/>
      <c r="T4" s="1"/>
      <c r="U4" s="1"/>
    </row>
    <row r="5" spans="8:20" ht="12.75">
      <c r="H5" s="1"/>
      <c r="I5" s="1"/>
      <c r="J5" s="1"/>
      <c r="K5" s="1"/>
      <c r="S5" s="1"/>
      <c r="T5" s="1"/>
    </row>
    <row r="6" spans="1:20" ht="12.75">
      <c r="A6" s="1" t="s">
        <v>57</v>
      </c>
      <c r="B6" s="1"/>
      <c r="C6" s="1"/>
      <c r="D6" s="1"/>
      <c r="E6" s="3"/>
      <c r="F6" s="3"/>
      <c r="G6" s="3"/>
      <c r="H6" s="3"/>
      <c r="I6" s="3"/>
      <c r="J6" s="3"/>
      <c r="K6" s="5" t="s">
        <v>58</v>
      </c>
      <c r="L6" s="1" t="s">
        <v>57</v>
      </c>
      <c r="M6" s="1"/>
      <c r="N6" s="1"/>
      <c r="O6" s="1"/>
      <c r="P6" s="1"/>
      <c r="Q6" s="1"/>
      <c r="R6" s="5"/>
      <c r="S6" s="3"/>
      <c r="T6" s="5" t="s">
        <v>59</v>
      </c>
    </row>
    <row r="7" spans="1:20" ht="12.75">
      <c r="A7" s="2"/>
      <c r="B7" s="6" t="s">
        <v>35</v>
      </c>
      <c r="C7" s="6" t="s">
        <v>37</v>
      </c>
      <c r="D7" s="6" t="s">
        <v>38</v>
      </c>
      <c r="E7" s="6" t="s">
        <v>19</v>
      </c>
      <c r="F7" s="6" t="s">
        <v>5</v>
      </c>
      <c r="G7" s="6" t="s">
        <v>21</v>
      </c>
      <c r="H7" s="4" t="s">
        <v>6</v>
      </c>
      <c r="I7" s="4" t="s">
        <v>7</v>
      </c>
      <c r="J7" s="4" t="s">
        <v>8</v>
      </c>
      <c r="K7" s="4" t="s">
        <v>18</v>
      </c>
      <c r="L7" s="4"/>
      <c r="M7" s="6" t="s">
        <v>9</v>
      </c>
      <c r="N7" s="6" t="s">
        <v>22</v>
      </c>
      <c r="O7" s="6" t="s">
        <v>24</v>
      </c>
      <c r="P7" s="6" t="s">
        <v>26</v>
      </c>
      <c r="Q7" s="6" t="s">
        <v>29</v>
      </c>
      <c r="R7" s="6" t="s">
        <v>16</v>
      </c>
      <c r="S7" s="4" t="s">
        <v>10</v>
      </c>
      <c r="T7" s="6" t="s">
        <v>39</v>
      </c>
    </row>
    <row r="8" spans="1:20" ht="12.75">
      <c r="A8" s="2"/>
      <c r="B8" s="6" t="s">
        <v>34</v>
      </c>
      <c r="C8" s="6" t="s">
        <v>36</v>
      </c>
      <c r="D8" s="6" t="s">
        <v>12</v>
      </c>
      <c r="E8" s="6" t="s">
        <v>20</v>
      </c>
      <c r="F8" s="4"/>
      <c r="G8" s="4"/>
      <c r="H8" s="4"/>
      <c r="I8" s="4"/>
      <c r="J8" s="4"/>
      <c r="K8" s="4"/>
      <c r="L8" s="4"/>
      <c r="M8" s="6" t="s">
        <v>13</v>
      </c>
      <c r="N8" s="6" t="s">
        <v>23</v>
      </c>
      <c r="O8" s="6" t="s">
        <v>25</v>
      </c>
      <c r="P8" s="6" t="s">
        <v>27</v>
      </c>
      <c r="Q8" s="6" t="s">
        <v>31</v>
      </c>
      <c r="R8" s="6" t="s">
        <v>17</v>
      </c>
      <c r="S8" s="4"/>
      <c r="T8" s="6">
        <v>2020</v>
      </c>
    </row>
    <row r="9" spans="1:20" ht="12.75">
      <c r="A9" s="4">
        <v>2020</v>
      </c>
      <c r="B9" s="6" t="s">
        <v>11</v>
      </c>
      <c r="C9" s="6" t="s">
        <v>0</v>
      </c>
      <c r="D9" s="7"/>
      <c r="E9" s="7"/>
      <c r="F9" s="2"/>
      <c r="G9" s="2"/>
      <c r="H9" s="2"/>
      <c r="I9" s="2"/>
      <c r="J9" s="2"/>
      <c r="K9" s="2"/>
      <c r="L9" s="4">
        <v>2020</v>
      </c>
      <c r="M9" s="7"/>
      <c r="N9" s="2"/>
      <c r="O9" s="7"/>
      <c r="P9" s="6" t="s">
        <v>28</v>
      </c>
      <c r="Q9" s="6" t="s">
        <v>30</v>
      </c>
      <c r="R9" s="7"/>
      <c r="S9" s="2"/>
      <c r="T9" s="2"/>
    </row>
    <row r="10" spans="1:20" ht="12.75">
      <c r="A10" s="4"/>
      <c r="B10" s="6"/>
      <c r="C10" s="6"/>
      <c r="D10" s="7"/>
      <c r="E10" s="7"/>
      <c r="F10" s="2"/>
      <c r="G10" s="2"/>
      <c r="H10" s="2"/>
      <c r="I10" s="2"/>
      <c r="J10" s="2"/>
      <c r="K10" s="2"/>
      <c r="L10" s="4"/>
      <c r="M10" s="7"/>
      <c r="N10" s="2"/>
      <c r="O10" s="7"/>
      <c r="P10" s="6"/>
      <c r="Q10" s="6"/>
      <c r="R10" s="7"/>
      <c r="S10" s="2"/>
      <c r="T10" s="2"/>
    </row>
    <row r="11" spans="1:20" ht="12.75">
      <c r="A11" s="2"/>
      <c r="B11" s="6" t="s">
        <v>14</v>
      </c>
      <c r="C11" s="6" t="s">
        <v>14</v>
      </c>
      <c r="D11" s="6" t="s">
        <v>14</v>
      </c>
      <c r="E11" s="6" t="s">
        <v>14</v>
      </c>
      <c r="F11" s="4" t="s">
        <v>14</v>
      </c>
      <c r="G11" s="6" t="s">
        <v>14</v>
      </c>
      <c r="H11" s="4" t="s">
        <v>14</v>
      </c>
      <c r="I11" s="4" t="s">
        <v>14</v>
      </c>
      <c r="J11" s="4" t="s">
        <v>14</v>
      </c>
      <c r="K11" s="6" t="s">
        <v>14</v>
      </c>
      <c r="L11" s="4"/>
      <c r="M11" s="21" t="s">
        <v>1</v>
      </c>
      <c r="N11" s="21" t="s">
        <v>1</v>
      </c>
      <c r="O11" s="21" t="s">
        <v>1</v>
      </c>
      <c r="P11" s="21" t="s">
        <v>1</v>
      </c>
      <c r="Q11" s="21" t="s">
        <v>1</v>
      </c>
      <c r="R11" s="21" t="s">
        <v>14</v>
      </c>
      <c r="S11" s="21" t="s">
        <v>15</v>
      </c>
      <c r="T11" s="6" t="s">
        <v>15</v>
      </c>
    </row>
    <row r="12" spans="1:21" ht="12.75">
      <c r="A12" s="9" t="s">
        <v>3</v>
      </c>
      <c r="B12" s="8">
        <f>45298.36-14.86</f>
        <v>45283.5</v>
      </c>
      <c r="C12" s="8">
        <f>10004.44-29.44</f>
        <v>9975</v>
      </c>
      <c r="D12" s="8">
        <f>14560.7-27.2</f>
        <v>14533.5</v>
      </c>
      <c r="E12" s="8">
        <f>9291.64-261.64</f>
        <v>9030</v>
      </c>
      <c r="F12" s="8">
        <f>11494.62-22.62</f>
        <v>11472</v>
      </c>
      <c r="G12" s="8">
        <f>22243.18-10.18</f>
        <v>22233</v>
      </c>
      <c r="H12" s="8">
        <f>9436.28-33.28</f>
        <v>9403</v>
      </c>
      <c r="I12" s="8">
        <f>61721.52-7395.52</f>
        <v>54326</v>
      </c>
      <c r="J12" s="8">
        <f>20825.02-27.02</f>
        <v>20798</v>
      </c>
      <c r="K12" s="8">
        <f>32743.44-4.44</f>
        <v>32739</v>
      </c>
      <c r="L12" s="9" t="s">
        <v>3</v>
      </c>
      <c r="M12" s="22">
        <f>58042.56-4929.56</f>
        <v>53113</v>
      </c>
      <c r="N12" s="22">
        <f>10355.5-10.5</f>
        <v>10345</v>
      </c>
      <c r="O12" s="22">
        <f>12219.74-1015.24</f>
        <v>11204.5</v>
      </c>
      <c r="P12" s="22">
        <f>13370-20</f>
        <v>13350</v>
      </c>
      <c r="Q12" s="22">
        <f>60721-7225</f>
        <v>53496</v>
      </c>
      <c r="R12" s="22">
        <f>P38+N12+M12+K12+J12+I12+H12+G12+F12+E12+D12+C12+B12+O12+P12+Q12</f>
        <v>371301.5</v>
      </c>
      <c r="S12" s="22">
        <f>3672-1074</f>
        <v>2598</v>
      </c>
      <c r="T12" s="22">
        <f>R12+S12</f>
        <v>373899.5</v>
      </c>
      <c r="U12" s="12"/>
    </row>
    <row r="13" spans="1:21" ht="12.75">
      <c r="A13" s="9" t="s">
        <v>40</v>
      </c>
      <c r="B13" s="8">
        <f>46082.7+14.86-27.56</f>
        <v>46070</v>
      </c>
      <c r="C13" s="8">
        <f>12390.76+29.44-20.2</f>
        <v>12400</v>
      </c>
      <c r="D13" s="8">
        <f>14365.3+27.2-2</f>
        <v>14390.5</v>
      </c>
      <c r="E13" s="8">
        <f>9165.46+261.64-20.6</f>
        <v>9406.499999999998</v>
      </c>
      <c r="F13" s="8">
        <f>12681.04+22.62-85.66</f>
        <v>12618.000000000002</v>
      </c>
      <c r="G13" s="8">
        <f>21944.2+10.18-18.38</f>
        <v>21936</v>
      </c>
      <c r="H13" s="8">
        <f>9307.34+33.28-10.62</f>
        <v>9330</v>
      </c>
      <c r="I13" s="8">
        <f>60901.26+7395.52-22.78</f>
        <v>68274</v>
      </c>
      <c r="J13" s="8">
        <f>20545.76+27.02-16.78</f>
        <v>20556</v>
      </c>
      <c r="K13" s="8">
        <f>32298.48+4.44-16.92</f>
        <v>32286</v>
      </c>
      <c r="L13" s="9" t="s">
        <v>40</v>
      </c>
      <c r="M13" s="22">
        <f>57271.4+4929.56-9.46</f>
        <v>62191.5</v>
      </c>
      <c r="N13" s="22">
        <f>10215.92+10.5-6.42</f>
        <v>10220</v>
      </c>
      <c r="O13" s="22">
        <f>12054.86+1015.24-1846.1</f>
        <v>11224</v>
      </c>
      <c r="P13" s="22">
        <f>13189.84+20-5.84</f>
        <v>13204</v>
      </c>
      <c r="Q13" s="22">
        <f>59913.68+7225-13.68</f>
        <v>67125</v>
      </c>
      <c r="R13" s="22">
        <f>B13+C13+D13+E13+F13+G13+H13+I13+J13+K13+M13+N13+O13+P13+Q13</f>
        <v>411231.5</v>
      </c>
      <c r="S13" s="22">
        <f>3672+1074-1536</f>
        <v>3210</v>
      </c>
      <c r="T13" s="22">
        <f>R13+S13</f>
        <v>414441.5</v>
      </c>
      <c r="U13" s="12"/>
    </row>
    <row r="14" spans="1:21" ht="12.75">
      <c r="A14" s="9" t="s">
        <v>41</v>
      </c>
      <c r="B14" s="8">
        <f>44910.18+27.56-13313.74</f>
        <v>31624</v>
      </c>
      <c r="C14" s="8">
        <f>12335.2+20.2-25.4</f>
        <v>12330.000000000002</v>
      </c>
      <c r="D14" s="8">
        <f>14293.68+2-387.18</f>
        <v>13908.5</v>
      </c>
      <c r="E14" s="8">
        <f>9106.34+20.6-354.94</f>
        <v>8772</v>
      </c>
      <c r="F14" s="8">
        <f>13919.6+85.66-1183.26</f>
        <v>12822</v>
      </c>
      <c r="G14" s="8">
        <f>21825.68+18.38-334.06</f>
        <v>21510</v>
      </c>
      <c r="H14" s="8">
        <f>9239.68+10.62-25.3</f>
        <v>9225.000000000002</v>
      </c>
      <c r="I14" s="8">
        <f>60661.12+22.78-31533.9</f>
        <v>29150</v>
      </c>
      <c r="J14" s="8">
        <f>20444.32+16.78-1507.1</f>
        <v>18954</v>
      </c>
      <c r="K14" s="8">
        <f>32638.14+16.92-3.06</f>
        <v>32651.999999999996</v>
      </c>
      <c r="L14" s="9" t="s">
        <v>41</v>
      </c>
      <c r="M14" s="22">
        <f>57243.96+9.46-317.92</f>
        <v>56935.5</v>
      </c>
      <c r="N14" s="22">
        <f>10156.48+6.42-12.9</f>
        <v>10150</v>
      </c>
      <c r="O14" s="22">
        <f>12757.62+1846.1-3443.22</f>
        <v>11160.500000000002</v>
      </c>
      <c r="P14" s="22">
        <f>13118.32+5.84-26.16</f>
        <v>13098</v>
      </c>
      <c r="Q14" s="22">
        <f>59677.68+13.68-1360.86</f>
        <v>58330.5</v>
      </c>
      <c r="R14" s="22">
        <f>Q14+P14+O14+N14+M14+K14+J14+I14+H14+G14+F14+E14+D14+C14+B14</f>
        <v>340622</v>
      </c>
      <c r="S14" s="22">
        <f>3672+1536-4150</f>
        <v>1058</v>
      </c>
      <c r="T14" s="22">
        <f>R14+S14</f>
        <v>341680</v>
      </c>
      <c r="U14" s="12"/>
    </row>
    <row r="15" spans="1:21" ht="12.75">
      <c r="A15" s="31" t="s">
        <v>2</v>
      </c>
      <c r="B15" s="32">
        <f aca="true" t="shared" si="0" ref="B15:K15">B12+B13+B14</f>
        <v>122977.5</v>
      </c>
      <c r="C15" s="32">
        <f t="shared" si="0"/>
        <v>34705</v>
      </c>
      <c r="D15" s="32">
        <f t="shared" si="0"/>
        <v>42832.5</v>
      </c>
      <c r="E15" s="32">
        <f t="shared" si="0"/>
        <v>27208.5</v>
      </c>
      <c r="F15" s="32">
        <f t="shared" si="0"/>
        <v>36912</v>
      </c>
      <c r="G15" s="32">
        <f t="shared" si="0"/>
        <v>65679</v>
      </c>
      <c r="H15" s="32">
        <f t="shared" si="0"/>
        <v>27958</v>
      </c>
      <c r="I15" s="32">
        <f t="shared" si="0"/>
        <v>151750</v>
      </c>
      <c r="J15" s="32">
        <f t="shared" si="0"/>
        <v>60308</v>
      </c>
      <c r="K15" s="32">
        <f t="shared" si="0"/>
        <v>97677</v>
      </c>
      <c r="L15" s="32" t="s">
        <v>2</v>
      </c>
      <c r="M15" s="33">
        <f aca="true" t="shared" si="1" ref="M15:T15">M12+M13+M14</f>
        <v>172240</v>
      </c>
      <c r="N15" s="33">
        <f t="shared" si="1"/>
        <v>30715</v>
      </c>
      <c r="O15" s="33">
        <f t="shared" si="1"/>
        <v>33589</v>
      </c>
      <c r="P15" s="33">
        <f t="shared" si="1"/>
        <v>39652</v>
      </c>
      <c r="Q15" s="33">
        <f t="shared" si="1"/>
        <v>178951.5</v>
      </c>
      <c r="R15" s="33">
        <f t="shared" si="1"/>
        <v>1123155</v>
      </c>
      <c r="S15" s="33">
        <f t="shared" si="1"/>
        <v>6866</v>
      </c>
      <c r="T15" s="33">
        <f t="shared" si="1"/>
        <v>1130021</v>
      </c>
      <c r="U15" s="12"/>
    </row>
    <row r="16" spans="1:20" s="27" customFormat="1" ht="12.75">
      <c r="A16" s="9" t="s">
        <v>42</v>
      </c>
      <c r="B16" s="30">
        <f>46592.56+13313.74-59906.3</f>
        <v>0</v>
      </c>
      <c r="C16" s="30">
        <f>12738.36+25.4-12763.76</f>
        <v>0</v>
      </c>
      <c r="D16" s="30"/>
      <c r="E16" s="30">
        <f>4889.77-4889.77</f>
        <v>0</v>
      </c>
      <c r="F16" s="30">
        <f>14421.86+1183.26-1175.12</f>
        <v>14430</v>
      </c>
      <c r="G16" s="30">
        <f>22562.02+334.06-22116.08</f>
        <v>780</v>
      </c>
      <c r="H16" s="30">
        <f>9571.6+25.3-8732.9</f>
        <v>864</v>
      </c>
      <c r="I16" s="30">
        <f>62605.56+31533.9-85371.46</f>
        <v>8767.999999999985</v>
      </c>
      <c r="J16" s="30">
        <f>21123.3+1507.1-5164.4</f>
        <v>17466</v>
      </c>
      <c r="K16" s="30">
        <f>33787.98+3.06-23.04</f>
        <v>33768</v>
      </c>
      <c r="L16" s="9" t="s">
        <v>42</v>
      </c>
      <c r="M16" s="28">
        <f>59075.28+317.92-29.2</f>
        <v>59364</v>
      </c>
      <c r="N16" s="28">
        <f>10503.7+12.9-9526.6</f>
        <v>990</v>
      </c>
      <c r="O16" s="28">
        <v>0</v>
      </c>
      <c r="P16" s="28">
        <f>13561.46+26.16-0.62</f>
        <v>13586.999999999998</v>
      </c>
      <c r="Q16" s="28">
        <f>61590.42+1360.86-69.78</f>
        <v>62881.5</v>
      </c>
      <c r="R16" s="29">
        <f>Q16+P16+N16+M16+K16+J16+I16+H16+G16+F16+E16+D16+C16+B16</f>
        <v>212898.5</v>
      </c>
      <c r="S16" s="28">
        <f>3672+4150-3672-4150</f>
        <v>0</v>
      </c>
      <c r="T16" s="29">
        <f>R16+S16</f>
        <v>212898.5</v>
      </c>
    </row>
    <row r="17" spans="1:21" s="27" customFormat="1" ht="12.75">
      <c r="A17" s="9" t="s">
        <v>44</v>
      </c>
      <c r="B17" s="30">
        <f>48391.91+1297.35+59906.3</f>
        <v>109595.56</v>
      </c>
      <c r="C17" s="30">
        <f>13011.53+347.1+0.06+12763.76</f>
        <v>26122.45</v>
      </c>
      <c r="D17" s="30">
        <f>15085.38+402.74+387.18</f>
        <v>15875.3</v>
      </c>
      <c r="E17" s="30">
        <f>4967.72-1353.54+4889.77</f>
        <v>8503.95</v>
      </c>
      <c r="F17" s="30">
        <f>13316.47+356.33+1175.12</f>
        <v>14847.919999999998</v>
      </c>
      <c r="G17" s="30">
        <f>23043.8+615.2+22116.08</f>
        <v>45775.08</v>
      </c>
      <c r="H17" s="30">
        <f>9773.73+261.49+8732.9</f>
        <v>18768.12</v>
      </c>
      <c r="I17" s="30">
        <f>63952.94+1704.92+85371.46</f>
        <v>151029.32</v>
      </c>
      <c r="J17" s="30">
        <f>22151.58+5164.4</f>
        <v>27315.980000000003</v>
      </c>
      <c r="K17" s="30">
        <f>33916.52+907+23.04</f>
        <v>34846.56</v>
      </c>
      <c r="L17" s="9" t="s">
        <v>44</v>
      </c>
      <c r="M17" s="28">
        <f>60141.43+1603.41+29.2</f>
        <v>61774.04</v>
      </c>
      <c r="N17" s="28">
        <f>10727.69+286.43+9526.6</f>
        <v>20540.72</v>
      </c>
      <c r="O17" s="28">
        <f>6942.1-2294.98+3443.22</f>
        <v>8090.34</v>
      </c>
      <c r="P17" s="28">
        <f>13850.77+338.23+0.62</f>
        <v>14189.62</v>
      </c>
      <c r="Q17" s="28">
        <f>62915.98+1677.26+69.78</f>
        <v>64663.020000000004</v>
      </c>
      <c r="R17" s="29">
        <f>B17+C17+D17+E17+F17+G17+H17+I17+J17+K17+M17+N17+O17+P17+Q17</f>
        <v>621937.98</v>
      </c>
      <c r="S17" s="28">
        <f>3672+7822</f>
        <v>11494</v>
      </c>
      <c r="T17" s="29">
        <f>R17+S17</f>
        <v>633431.98</v>
      </c>
      <c r="U17" s="26"/>
    </row>
    <row r="18" spans="1:21" s="27" customFormat="1" ht="12.75">
      <c r="A18" s="9" t="s">
        <v>47</v>
      </c>
      <c r="B18" s="30">
        <f>34565.88-45.15</f>
        <v>34520.729999999996</v>
      </c>
      <c r="C18" s="30">
        <v>9489.2</v>
      </c>
      <c r="D18" s="30">
        <v>10996.42</v>
      </c>
      <c r="E18" s="30">
        <v>5208.92</v>
      </c>
      <c r="F18" s="30">
        <v>10711.96</v>
      </c>
      <c r="G18" s="30">
        <v>16792.08</v>
      </c>
      <c r="H18" s="30">
        <v>7110.48</v>
      </c>
      <c r="I18" s="30">
        <v>46662.24</v>
      </c>
      <c r="J18" s="30">
        <v>15728.08</v>
      </c>
      <c r="K18" s="30">
        <v>25114.62</v>
      </c>
      <c r="L18" s="9" t="s">
        <v>47</v>
      </c>
      <c r="M18" s="28">
        <v>44033.5</v>
      </c>
      <c r="N18" s="28">
        <v>7814.62</v>
      </c>
      <c r="O18" s="28">
        <v>9969.72</v>
      </c>
      <c r="P18" s="28">
        <v>10092.9</v>
      </c>
      <c r="Q18" s="28">
        <v>46756.9</v>
      </c>
      <c r="R18" s="29">
        <f>B18+C18+D18+E18+F18+G18+H18+I18+J18+K18+M18+N18+O18+P18+Q18</f>
        <v>301002.36999999994</v>
      </c>
      <c r="S18" s="28">
        <v>2601</v>
      </c>
      <c r="T18" s="29">
        <f>R18+S18</f>
        <v>303603.36999999994</v>
      </c>
      <c r="U18" s="26"/>
    </row>
    <row r="19" spans="1:21" s="27" customFormat="1" ht="12.75">
      <c r="A19" s="31" t="s">
        <v>45</v>
      </c>
      <c r="B19" s="41">
        <f>SUM(B17:B18)</f>
        <v>144116.28999999998</v>
      </c>
      <c r="C19" s="41">
        <f>SUM(C17:C18)</f>
        <v>35611.65</v>
      </c>
      <c r="D19" s="41">
        <f>SUM(D17:D18)</f>
        <v>26871.72</v>
      </c>
      <c r="E19" s="41">
        <f>SUM(E17:E18)</f>
        <v>13712.87</v>
      </c>
      <c r="F19" s="41">
        <f aca="true" t="shared" si="2" ref="F19:K19">SUM(F16:F18)</f>
        <v>39989.88</v>
      </c>
      <c r="G19" s="41">
        <f t="shared" si="2"/>
        <v>63347.16</v>
      </c>
      <c r="H19" s="41">
        <f t="shared" si="2"/>
        <v>26742.6</v>
      </c>
      <c r="I19" s="41">
        <f t="shared" si="2"/>
        <v>206459.56</v>
      </c>
      <c r="J19" s="41">
        <f t="shared" si="2"/>
        <v>60510.060000000005</v>
      </c>
      <c r="K19" s="41">
        <f t="shared" si="2"/>
        <v>93729.18</v>
      </c>
      <c r="L19" s="31" t="s">
        <v>45</v>
      </c>
      <c r="M19" s="42">
        <f>SUM(M16:M18)</f>
        <v>165171.54</v>
      </c>
      <c r="N19" s="42">
        <f>SUM(N16:N18)</f>
        <v>29345.34</v>
      </c>
      <c r="O19" s="42">
        <f>SUM(O17:O18)</f>
        <v>18060.059999999998</v>
      </c>
      <c r="P19" s="42">
        <f>SUM(P16:P18)</f>
        <v>37869.52</v>
      </c>
      <c r="Q19" s="42">
        <f>SUM(Q16:Q18)</f>
        <v>174301.42</v>
      </c>
      <c r="R19" s="42">
        <f>SUM(R16:R18)</f>
        <v>1135838.8499999999</v>
      </c>
      <c r="S19" s="42">
        <f>SUM(S17:S18)</f>
        <v>14095</v>
      </c>
      <c r="T19" s="33">
        <f>T16+T17+T18</f>
        <v>1149933.8499999999</v>
      </c>
      <c r="U19" s="26"/>
    </row>
    <row r="20" spans="1:21" s="27" customFormat="1" ht="12.75">
      <c r="A20" s="31" t="s">
        <v>46</v>
      </c>
      <c r="B20" s="41">
        <f aca="true" t="shared" si="3" ref="B20:K20">B15+B19</f>
        <v>267093.79</v>
      </c>
      <c r="C20" s="41">
        <f t="shared" si="3"/>
        <v>70316.65</v>
      </c>
      <c r="D20" s="41">
        <f t="shared" si="3"/>
        <v>69704.22</v>
      </c>
      <c r="E20" s="41">
        <f t="shared" si="3"/>
        <v>40921.37</v>
      </c>
      <c r="F20" s="41">
        <f t="shared" si="3"/>
        <v>76901.88</v>
      </c>
      <c r="G20" s="41">
        <f t="shared" si="3"/>
        <v>129026.16</v>
      </c>
      <c r="H20" s="41">
        <f t="shared" si="3"/>
        <v>54700.6</v>
      </c>
      <c r="I20" s="41">
        <f t="shared" si="3"/>
        <v>358209.56</v>
      </c>
      <c r="J20" s="41">
        <f t="shared" si="3"/>
        <v>120818.06</v>
      </c>
      <c r="K20" s="41">
        <f t="shared" si="3"/>
        <v>191406.18</v>
      </c>
      <c r="L20" s="31" t="s">
        <v>46</v>
      </c>
      <c r="M20" s="42">
        <f aca="true" t="shared" si="4" ref="M20:T20">M15+M19</f>
        <v>337411.54000000004</v>
      </c>
      <c r="N20" s="42">
        <f t="shared" si="4"/>
        <v>60060.34</v>
      </c>
      <c r="O20" s="42">
        <f t="shared" si="4"/>
        <v>51649.06</v>
      </c>
      <c r="P20" s="42">
        <f t="shared" si="4"/>
        <v>77521.51999999999</v>
      </c>
      <c r="Q20" s="42">
        <f t="shared" si="4"/>
        <v>353252.92000000004</v>
      </c>
      <c r="R20" s="42">
        <f t="shared" si="4"/>
        <v>2258993.8499999996</v>
      </c>
      <c r="S20" s="42">
        <f t="shared" si="4"/>
        <v>20961</v>
      </c>
      <c r="T20" s="33">
        <f t="shared" si="4"/>
        <v>2279954.8499999996</v>
      </c>
      <c r="U20" s="26"/>
    </row>
    <row r="21" spans="1:22" s="27" customFormat="1" ht="12.75">
      <c r="A21" s="9" t="s">
        <v>48</v>
      </c>
      <c r="B21" s="43">
        <v>50462</v>
      </c>
      <c r="C21" s="43">
        <v>13896.8</v>
      </c>
      <c r="D21" s="43">
        <v>16104.84</v>
      </c>
      <c r="E21" s="43">
        <v>7629.7</v>
      </c>
      <c r="F21" s="43">
        <v>15690.86</v>
      </c>
      <c r="G21" s="43">
        <v>24593.36</v>
      </c>
      <c r="H21" s="43">
        <v>10415.56</v>
      </c>
      <c r="I21" s="43">
        <v>68333.36</v>
      </c>
      <c r="J21" s="43">
        <v>23034.46</v>
      </c>
      <c r="K21" s="43">
        <v>36786.12</v>
      </c>
      <c r="L21" s="9" t="s">
        <v>48</v>
      </c>
      <c r="M21" s="44">
        <v>64483.44</v>
      </c>
      <c r="N21" s="44">
        <v>11445.32</v>
      </c>
      <c r="O21" s="44">
        <v>14602.4</v>
      </c>
      <c r="P21" s="44">
        <v>14781.82</v>
      </c>
      <c r="Q21" s="44">
        <v>68472.28</v>
      </c>
      <c r="R21" s="44">
        <f>B21+C21+D21+E21+F21+G21+H21+I21+J21+K21+M21+N21+O21+P21+Q21</f>
        <v>440732.32000000007</v>
      </c>
      <c r="S21" s="44">
        <v>2601</v>
      </c>
      <c r="T21" s="45">
        <f>R21+S21</f>
        <v>443333.32000000007</v>
      </c>
      <c r="U21" s="26"/>
      <c r="V21" s="46"/>
    </row>
    <row r="22" spans="1:21" s="27" customFormat="1" ht="12.75">
      <c r="A22" s="9" t="s">
        <v>49</v>
      </c>
      <c r="B22" s="43">
        <v>50462.02</v>
      </c>
      <c r="C22" s="43">
        <v>13896.8</v>
      </c>
      <c r="D22" s="43">
        <v>16104.84</v>
      </c>
      <c r="E22" s="43">
        <v>7629.7</v>
      </c>
      <c r="F22" s="43">
        <v>15690.86</v>
      </c>
      <c r="G22" s="43">
        <v>24593.36</v>
      </c>
      <c r="H22" s="43">
        <v>10415.56</v>
      </c>
      <c r="I22" s="43">
        <v>68333.36</v>
      </c>
      <c r="J22" s="43">
        <v>23034.46</v>
      </c>
      <c r="K22" s="43">
        <v>36786.12</v>
      </c>
      <c r="L22" s="9" t="s">
        <v>49</v>
      </c>
      <c r="M22" s="44">
        <v>64483.44</v>
      </c>
      <c r="N22" s="44">
        <v>11445.32</v>
      </c>
      <c r="O22" s="44">
        <v>14602.4</v>
      </c>
      <c r="P22" s="44">
        <v>14781.82</v>
      </c>
      <c r="Q22" s="44">
        <v>68472.28</v>
      </c>
      <c r="R22" s="44">
        <f>B22+C22+D22+E22+F22+G22+H22+I22+J22+K22+M22+N22+O22+P22+Q22</f>
        <v>440732.3400000001</v>
      </c>
      <c r="S22" s="44">
        <v>2601</v>
      </c>
      <c r="T22" s="45">
        <f>R22+S22</f>
        <v>443333.3400000001</v>
      </c>
      <c r="U22" s="26"/>
    </row>
    <row r="23" spans="1:21" s="27" customFormat="1" ht="12.75">
      <c r="A23" s="9" t="s">
        <v>50</v>
      </c>
      <c r="B23" s="43">
        <v>50462.02</v>
      </c>
      <c r="C23" s="43">
        <v>13896.8</v>
      </c>
      <c r="D23" s="43">
        <v>16104.84</v>
      </c>
      <c r="E23" s="43">
        <v>7629.7</v>
      </c>
      <c r="F23" s="43">
        <v>15690.86</v>
      </c>
      <c r="G23" s="43">
        <v>24593.36</v>
      </c>
      <c r="H23" s="43">
        <v>10415.56</v>
      </c>
      <c r="I23" s="43">
        <v>68333.36</v>
      </c>
      <c r="J23" s="43">
        <v>23034.46</v>
      </c>
      <c r="K23" s="43">
        <v>36786.12</v>
      </c>
      <c r="L23" s="9" t="s">
        <v>50</v>
      </c>
      <c r="M23" s="44">
        <v>64483.44</v>
      </c>
      <c r="N23" s="44">
        <v>11445.32</v>
      </c>
      <c r="O23" s="44">
        <v>14602.4</v>
      </c>
      <c r="P23" s="44">
        <v>14781.82</v>
      </c>
      <c r="Q23" s="44">
        <v>68472.28</v>
      </c>
      <c r="R23" s="44">
        <f>B23+C23+D23+E23+F23+G23+H23+I23+J23+K23+M23+N23+O23+P23+Q23</f>
        <v>440732.3400000001</v>
      </c>
      <c r="S23" s="44">
        <v>2601</v>
      </c>
      <c r="T23" s="45">
        <f>R23+S23</f>
        <v>443333.3400000001</v>
      </c>
      <c r="U23" s="26"/>
    </row>
    <row r="24" spans="1:22" s="27" customFormat="1" ht="12.75">
      <c r="A24" s="31" t="s">
        <v>51</v>
      </c>
      <c r="B24" s="41">
        <f aca="true" t="shared" si="5" ref="B24:K24">B21+B22+B23</f>
        <v>151386.03999999998</v>
      </c>
      <c r="C24" s="41">
        <f t="shared" si="5"/>
        <v>41690.399999999994</v>
      </c>
      <c r="D24" s="41">
        <f t="shared" si="5"/>
        <v>48314.520000000004</v>
      </c>
      <c r="E24" s="41">
        <f t="shared" si="5"/>
        <v>22889.1</v>
      </c>
      <c r="F24" s="41">
        <f t="shared" si="5"/>
        <v>47072.58</v>
      </c>
      <c r="G24" s="41">
        <f t="shared" si="5"/>
        <v>73780.08</v>
      </c>
      <c r="H24" s="41">
        <f t="shared" si="5"/>
        <v>31246.68</v>
      </c>
      <c r="I24" s="41">
        <f t="shared" si="5"/>
        <v>205000.08000000002</v>
      </c>
      <c r="J24" s="41">
        <f t="shared" si="5"/>
        <v>69103.38</v>
      </c>
      <c r="K24" s="41">
        <f t="shared" si="5"/>
        <v>110358.36000000002</v>
      </c>
      <c r="L24" s="31" t="s">
        <v>51</v>
      </c>
      <c r="M24" s="42">
        <f aca="true" t="shared" si="6" ref="M24:T24">M21+M22+M23</f>
        <v>193450.32</v>
      </c>
      <c r="N24" s="42">
        <f t="shared" si="6"/>
        <v>34335.96</v>
      </c>
      <c r="O24" s="42">
        <f t="shared" si="6"/>
        <v>43807.2</v>
      </c>
      <c r="P24" s="42">
        <f t="shared" si="6"/>
        <v>44345.46</v>
      </c>
      <c r="Q24" s="42">
        <f t="shared" si="6"/>
        <v>205416.84</v>
      </c>
      <c r="R24" s="42">
        <f>R21+R22+R23</f>
        <v>1322197.0000000002</v>
      </c>
      <c r="S24" s="42">
        <f t="shared" si="6"/>
        <v>7803</v>
      </c>
      <c r="T24" s="33">
        <f t="shared" si="6"/>
        <v>1330000.0000000002</v>
      </c>
      <c r="U24" s="26"/>
      <c r="V24" s="47"/>
    </row>
    <row r="25" spans="1:21" s="27" customFormat="1" ht="12.75">
      <c r="A25" s="9" t="s">
        <v>52</v>
      </c>
      <c r="B25" s="43">
        <v>50462.02</v>
      </c>
      <c r="C25" s="43">
        <v>13896.8</v>
      </c>
      <c r="D25" s="43">
        <v>16104.84</v>
      </c>
      <c r="E25" s="43">
        <v>7629.7</v>
      </c>
      <c r="F25" s="43">
        <v>15690.86</v>
      </c>
      <c r="G25" s="43">
        <v>24593.36</v>
      </c>
      <c r="H25" s="43">
        <v>10415.56</v>
      </c>
      <c r="I25" s="43">
        <v>68333.36</v>
      </c>
      <c r="J25" s="43">
        <v>23034.46</v>
      </c>
      <c r="K25" s="43">
        <v>36786.12</v>
      </c>
      <c r="L25" s="9" t="s">
        <v>52</v>
      </c>
      <c r="M25" s="44">
        <v>64483.44</v>
      </c>
      <c r="N25" s="44">
        <v>11445.32</v>
      </c>
      <c r="O25" s="44">
        <v>14602.4</v>
      </c>
      <c r="P25" s="44">
        <v>14781.82</v>
      </c>
      <c r="Q25" s="44">
        <v>68472.28</v>
      </c>
      <c r="R25" s="44">
        <f>B25+C25+D25+E25+F25+G25+H25+I25+K25+M25+N25+O25+P25+Q25+J25</f>
        <v>440732.34</v>
      </c>
      <c r="S25" s="44">
        <v>2601</v>
      </c>
      <c r="T25" s="45">
        <f>R25+S25</f>
        <v>443333.34</v>
      </c>
      <c r="U25" s="26"/>
    </row>
    <row r="26" spans="1:22" s="27" customFormat="1" ht="12.75">
      <c r="A26" s="9" t="s">
        <v>53</v>
      </c>
      <c r="B26" s="43">
        <v>50462.02</v>
      </c>
      <c r="C26" s="43">
        <v>13896.8</v>
      </c>
      <c r="D26" s="43">
        <v>16104.84</v>
      </c>
      <c r="E26" s="43">
        <v>7629.7</v>
      </c>
      <c r="F26" s="43">
        <v>15690.86</v>
      </c>
      <c r="G26" s="43">
        <v>24593.36</v>
      </c>
      <c r="H26" s="43">
        <v>10415.56</v>
      </c>
      <c r="I26" s="43">
        <v>68333.36</v>
      </c>
      <c r="J26" s="43">
        <v>23034.46</v>
      </c>
      <c r="K26" s="43">
        <v>36786.12</v>
      </c>
      <c r="L26" s="9" t="s">
        <v>53</v>
      </c>
      <c r="M26" s="44">
        <v>64483.44</v>
      </c>
      <c r="N26" s="44">
        <v>11445.32</v>
      </c>
      <c r="O26" s="44">
        <v>14602.4</v>
      </c>
      <c r="P26" s="44">
        <v>14781.82</v>
      </c>
      <c r="Q26" s="44">
        <v>68472.28</v>
      </c>
      <c r="R26" s="44">
        <f>B26+C26+D26+E26+F26+G26+H26+I26+K26+M26+N26+O26+P26+Q26+J26</f>
        <v>440732.34</v>
      </c>
      <c r="S26" s="44">
        <v>2601</v>
      </c>
      <c r="T26" s="45">
        <f>R26+S26</f>
        <v>443333.34</v>
      </c>
      <c r="U26" s="26"/>
      <c r="V26" s="26"/>
    </row>
    <row r="27" spans="1:22" s="27" customFormat="1" ht="12.75">
      <c r="A27" s="9" t="s">
        <v>54</v>
      </c>
      <c r="B27" s="43">
        <v>1343.4</v>
      </c>
      <c r="C27" s="43">
        <v>369.94</v>
      </c>
      <c r="D27" s="43">
        <v>428.7</v>
      </c>
      <c r="E27" s="43">
        <v>203.08</v>
      </c>
      <c r="F27" s="43">
        <v>417.72</v>
      </c>
      <c r="G27" s="43">
        <v>654.54</v>
      </c>
      <c r="H27" s="43">
        <v>277.24</v>
      </c>
      <c r="I27" s="43">
        <v>1819</v>
      </c>
      <c r="J27" s="43">
        <v>613.26</v>
      </c>
      <c r="K27" s="43">
        <v>979.32</v>
      </c>
      <c r="L27" s="9" t="s">
        <v>54</v>
      </c>
      <c r="M27" s="44">
        <v>1716.44</v>
      </c>
      <c r="N27" s="44">
        <v>304.82</v>
      </c>
      <c r="O27" s="44">
        <v>388.56</v>
      </c>
      <c r="P27" s="44">
        <v>393.56</v>
      </c>
      <c r="Q27" s="44">
        <v>1822.73</v>
      </c>
      <c r="R27" s="44">
        <f>B27+C27+D27+E27+F27+G27+H27+I27+K27+M27+N27+O27+P27+Q27+J27+0.01</f>
        <v>11732.319999999998</v>
      </c>
      <c r="S27" s="44">
        <v>2601</v>
      </c>
      <c r="T27" s="45">
        <f>R27+S27</f>
        <v>14333.319999999998</v>
      </c>
      <c r="U27" s="26"/>
      <c r="V27" s="26"/>
    </row>
    <row r="28" spans="1:21" s="27" customFormat="1" ht="12.75">
      <c r="A28" s="31" t="s">
        <v>55</v>
      </c>
      <c r="B28" s="41">
        <f>B25+B26+B27</f>
        <v>102267.43999999999</v>
      </c>
      <c r="C28" s="41">
        <f>C25+C26+C27</f>
        <v>28163.539999999997</v>
      </c>
      <c r="D28" s="41">
        <f>D25+D26+D27</f>
        <v>32638.38</v>
      </c>
      <c r="E28" s="41">
        <f aca="true" t="shared" si="7" ref="E28:T28">E25+E26+E27</f>
        <v>15462.48</v>
      </c>
      <c r="F28" s="41">
        <f t="shared" si="7"/>
        <v>31799.440000000002</v>
      </c>
      <c r="G28" s="41">
        <f t="shared" si="7"/>
        <v>49841.26</v>
      </c>
      <c r="H28" s="41">
        <f t="shared" si="7"/>
        <v>21108.36</v>
      </c>
      <c r="I28" s="41">
        <f t="shared" si="7"/>
        <v>138485.72</v>
      </c>
      <c r="J28" s="41">
        <f t="shared" si="7"/>
        <v>46682.18</v>
      </c>
      <c r="K28" s="41">
        <f t="shared" si="7"/>
        <v>74551.56000000001</v>
      </c>
      <c r="L28" s="31" t="s">
        <v>55</v>
      </c>
      <c r="M28" s="41">
        <f t="shared" si="7"/>
        <v>130683.32</v>
      </c>
      <c r="N28" s="41">
        <f t="shared" si="7"/>
        <v>23195.46</v>
      </c>
      <c r="O28" s="41">
        <f t="shared" si="7"/>
        <v>29593.36</v>
      </c>
      <c r="P28" s="41">
        <f t="shared" si="7"/>
        <v>29957.2</v>
      </c>
      <c r="Q28" s="41">
        <f t="shared" si="7"/>
        <v>138767.29</v>
      </c>
      <c r="R28" s="41">
        <f t="shared" si="7"/>
        <v>893197</v>
      </c>
      <c r="S28" s="41">
        <f t="shared" si="7"/>
        <v>7803</v>
      </c>
      <c r="T28" s="41">
        <f t="shared" si="7"/>
        <v>901000</v>
      </c>
      <c r="U28" s="26"/>
    </row>
    <row r="29" spans="1:21" s="27" customFormat="1" ht="12.75">
      <c r="A29" s="31" t="s">
        <v>56</v>
      </c>
      <c r="B29" s="41">
        <f>B24+B28</f>
        <v>253653.47999999998</v>
      </c>
      <c r="C29" s="41">
        <f>C24+C28</f>
        <v>69853.93999999999</v>
      </c>
      <c r="D29" s="41">
        <f aca="true" t="shared" si="8" ref="D29:S29">D24+D28</f>
        <v>80952.90000000001</v>
      </c>
      <c r="E29" s="41">
        <f t="shared" si="8"/>
        <v>38351.58</v>
      </c>
      <c r="F29" s="41">
        <f t="shared" si="8"/>
        <v>78872.02</v>
      </c>
      <c r="G29" s="41">
        <f t="shared" si="8"/>
        <v>123621.34</v>
      </c>
      <c r="H29" s="41">
        <f t="shared" si="8"/>
        <v>52355.04</v>
      </c>
      <c r="I29" s="41">
        <f t="shared" si="8"/>
        <v>343485.80000000005</v>
      </c>
      <c r="J29" s="41">
        <f t="shared" si="8"/>
        <v>115785.56</v>
      </c>
      <c r="K29" s="41">
        <f t="shared" si="8"/>
        <v>184909.92000000004</v>
      </c>
      <c r="L29" s="31" t="s">
        <v>56</v>
      </c>
      <c r="M29" s="41">
        <f t="shared" si="8"/>
        <v>324133.64</v>
      </c>
      <c r="N29" s="41">
        <f t="shared" si="8"/>
        <v>57531.42</v>
      </c>
      <c r="O29" s="41">
        <f t="shared" si="8"/>
        <v>73400.56</v>
      </c>
      <c r="P29" s="41">
        <f t="shared" si="8"/>
        <v>74302.66</v>
      </c>
      <c r="Q29" s="41">
        <f t="shared" si="8"/>
        <v>344184.13</v>
      </c>
      <c r="R29" s="41">
        <f>R24+R28</f>
        <v>2215394</v>
      </c>
      <c r="S29" s="41">
        <f t="shared" si="8"/>
        <v>15606</v>
      </c>
      <c r="T29" s="41">
        <f>T24+T28</f>
        <v>2231000</v>
      </c>
      <c r="U29" s="26"/>
    </row>
    <row r="30" spans="1:21" ht="12.75">
      <c r="A30" s="25" t="s">
        <v>43</v>
      </c>
      <c r="B30" s="11">
        <f>B20+B29</f>
        <v>520747.26999999996</v>
      </c>
      <c r="C30" s="11">
        <f aca="true" t="shared" si="9" ref="C30:T30">C29+C20</f>
        <v>140170.58999999997</v>
      </c>
      <c r="D30" s="11">
        <f t="shared" si="9"/>
        <v>150657.12</v>
      </c>
      <c r="E30" s="11">
        <f t="shared" si="9"/>
        <v>79272.95000000001</v>
      </c>
      <c r="F30" s="11">
        <f t="shared" si="9"/>
        <v>155773.90000000002</v>
      </c>
      <c r="G30" s="11">
        <f t="shared" si="9"/>
        <v>252647.5</v>
      </c>
      <c r="H30" s="11">
        <f t="shared" si="9"/>
        <v>107055.64</v>
      </c>
      <c r="I30" s="11">
        <f t="shared" si="9"/>
        <v>701695.3600000001</v>
      </c>
      <c r="J30" s="11">
        <f t="shared" si="9"/>
        <v>236603.62</v>
      </c>
      <c r="K30" s="11">
        <f t="shared" si="9"/>
        <v>376316.10000000003</v>
      </c>
      <c r="L30" s="25" t="s">
        <v>43</v>
      </c>
      <c r="M30" s="11">
        <f t="shared" si="9"/>
        <v>661545.18</v>
      </c>
      <c r="N30" s="11">
        <f t="shared" si="9"/>
        <v>117591.76</v>
      </c>
      <c r="O30" s="11">
        <f t="shared" si="9"/>
        <v>125049.62</v>
      </c>
      <c r="P30" s="11">
        <f t="shared" si="9"/>
        <v>151824.18</v>
      </c>
      <c r="Q30" s="11">
        <f t="shared" si="9"/>
        <v>697437.05</v>
      </c>
      <c r="R30" s="11">
        <f>R20+R29</f>
        <v>4474387.85</v>
      </c>
      <c r="S30" s="11">
        <f t="shared" si="9"/>
        <v>36567</v>
      </c>
      <c r="T30" s="11">
        <f t="shared" si="9"/>
        <v>4510954.85</v>
      </c>
      <c r="U30" s="12"/>
    </row>
    <row r="31" spans="1:21" ht="12.75">
      <c r="A31" s="5"/>
      <c r="B31" s="34"/>
      <c r="C31" s="5"/>
      <c r="D31" s="34"/>
      <c r="E31" s="23"/>
      <c r="F31" s="23"/>
      <c r="G31" s="23"/>
      <c r="H31" s="23"/>
      <c r="I31" s="23"/>
      <c r="J31" s="23"/>
      <c r="K31" s="23"/>
      <c r="L31" s="5"/>
      <c r="M31" s="34"/>
      <c r="N31" s="5"/>
      <c r="O31" s="24"/>
      <c r="P31" s="24"/>
      <c r="Q31" s="24"/>
      <c r="R31" s="24"/>
      <c r="S31" s="24"/>
      <c r="T31" s="24"/>
      <c r="U31" s="12"/>
    </row>
    <row r="32" spans="1:23" ht="12.75">
      <c r="A32" s="35"/>
      <c r="B32" s="35"/>
      <c r="C32" s="35"/>
      <c r="D32" s="35"/>
      <c r="G32" s="37"/>
      <c r="H32" s="37"/>
      <c r="I32" s="38"/>
      <c r="L32" s="35"/>
      <c r="M32" s="35"/>
      <c r="N32" s="35"/>
      <c r="Q32" s="37"/>
      <c r="R32" s="37"/>
      <c r="S32" s="38"/>
      <c r="T32" s="1"/>
      <c r="U32" s="13"/>
      <c r="W32" s="17"/>
    </row>
    <row r="33" spans="1:25" ht="12.75">
      <c r="A33" s="36"/>
      <c r="B33" s="36"/>
      <c r="C33" s="36"/>
      <c r="D33" s="36"/>
      <c r="G33" s="37"/>
      <c r="H33" s="39"/>
      <c r="I33" s="37"/>
      <c r="L33" s="36"/>
      <c r="M33" s="36"/>
      <c r="N33" s="36"/>
      <c r="Q33" s="37"/>
      <c r="R33" s="39"/>
      <c r="S33" s="37"/>
      <c r="T33" s="20"/>
      <c r="U33" s="1"/>
      <c r="V33" s="18"/>
      <c r="W33" s="17"/>
      <c r="Y33" s="5"/>
    </row>
    <row r="34" spans="2:23" ht="12.75">
      <c r="B34" s="13"/>
      <c r="C34" s="13"/>
      <c r="D34" s="13"/>
      <c r="E34" s="12"/>
      <c r="G34" s="39"/>
      <c r="H34" s="37"/>
      <c r="I34" s="39"/>
      <c r="J34" s="12"/>
      <c r="K34" s="12"/>
      <c r="L34" s="1"/>
      <c r="M34" s="13"/>
      <c r="N34" s="13"/>
      <c r="O34" s="12"/>
      <c r="P34" s="12"/>
      <c r="Q34" s="39"/>
      <c r="R34" s="37"/>
      <c r="S34" s="39"/>
      <c r="T34" s="14"/>
      <c r="V34" s="5"/>
      <c r="W34" s="5"/>
    </row>
    <row r="35" spans="2:23" ht="12.75">
      <c r="B35" s="13"/>
      <c r="C35" s="13"/>
      <c r="D35" s="13"/>
      <c r="E35" s="12"/>
      <c r="G35" s="39"/>
      <c r="H35" s="37"/>
      <c r="I35" s="39"/>
      <c r="J35" s="12"/>
      <c r="K35" s="12"/>
      <c r="L35" s="1"/>
      <c r="M35" s="13"/>
      <c r="N35" s="13"/>
      <c r="O35" s="12"/>
      <c r="P35" s="12"/>
      <c r="Q35" s="39"/>
      <c r="R35" s="37"/>
      <c r="S35" s="39"/>
      <c r="T35" s="14"/>
      <c r="V35" s="5"/>
      <c r="W35" s="5"/>
    </row>
    <row r="36" spans="1:16" ht="12.75">
      <c r="A36" s="16"/>
      <c r="C36" s="18"/>
      <c r="D36" s="1"/>
      <c r="E36" s="1"/>
      <c r="F36" s="1"/>
      <c r="G36" s="16"/>
      <c r="M36" s="13"/>
      <c r="N36" s="1"/>
      <c r="O36" s="1"/>
      <c r="P36" s="5"/>
    </row>
    <row r="37" spans="4:20" ht="12.75">
      <c r="D37" s="12"/>
      <c r="H37" s="1"/>
      <c r="I37" s="1"/>
      <c r="J37" s="1"/>
      <c r="M37" s="13"/>
      <c r="R37" s="5"/>
      <c r="S37" s="5"/>
      <c r="T37" s="5"/>
    </row>
    <row r="38" spans="2:28" ht="12.75">
      <c r="B38" s="10"/>
      <c r="I38" s="19"/>
      <c r="J38" s="19"/>
      <c r="K38" s="19"/>
      <c r="P38" s="10"/>
      <c r="Q38" s="10"/>
      <c r="R38" s="19"/>
      <c r="AB38" s="10"/>
    </row>
    <row r="39" spans="1:20" ht="12.75">
      <c r="A39" s="10"/>
      <c r="B39" s="10"/>
      <c r="T39" s="40"/>
    </row>
    <row r="40" ht="12.75">
      <c r="A40" s="10"/>
    </row>
    <row r="44" spans="18:19" ht="12.75">
      <c r="R44" s="15"/>
      <c r="S44" s="15"/>
    </row>
  </sheetData>
  <sheetProtection/>
  <printOptions/>
  <pageMargins left="0.35" right="0.2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2020-06-20T08:48:43Z</cp:lastPrinted>
  <dcterms:created xsi:type="dcterms:W3CDTF">1996-10-14T23:33:28Z</dcterms:created>
  <dcterms:modified xsi:type="dcterms:W3CDTF">2020-07-21T07:07:25Z</dcterms:modified>
  <cp:category/>
  <cp:version/>
  <cp:contentType/>
  <cp:contentStatus/>
</cp:coreProperties>
</file>